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 codeName="{91AB8045-AFC0-B76E-F17D-A240E00664A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Website\Website Content\Chimney\"/>
    </mc:Choice>
  </mc:AlternateContent>
  <xr:revisionPtr revIDLastSave="0" documentId="13_ncr:1_{95F2DAFF-9EDC-4432-95D7-62589562DE7E}" xr6:coauthVersionLast="45" xr6:coauthVersionMax="45" xr10:uidLastSave="{00000000-0000-0000-0000-000000000000}"/>
  <bookViews>
    <workbookView xWindow="1080" yWindow="630" windowWidth="23805" windowHeight="14160" xr2:uid="{D1630720-8D40-41CC-8D16-DEC4A176280F}"/>
  </bookViews>
  <sheets>
    <sheet name="Wind" sheetId="1" r:id="rId1"/>
  </sheets>
  <functionGroups builtInGroupCount="19"/>
  <definedNames>
    <definedName name="Alpha">Wind!$B$5</definedName>
    <definedName name="G">Wind!$B$9</definedName>
    <definedName name="h">Wind!$B$8</definedName>
    <definedName name="Kd">Wind!$B$11</definedName>
    <definedName name="Ke">Wind!$B$12</definedName>
    <definedName name="Kzt">Wind!$B$10</definedName>
    <definedName name="V">Wind!$B$3</definedName>
    <definedName name="zg">Wind!$B$6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1" l="1"/>
  <c r="N28" i="1"/>
  <c r="O27" i="1"/>
  <c r="O26" i="1"/>
  <c r="O25" i="1"/>
  <c r="O24" i="1"/>
  <c r="O23" i="1"/>
  <c r="O22" i="1"/>
  <c r="O21" i="1"/>
  <c r="O20" i="1"/>
  <c r="O19" i="1"/>
  <c r="O18" i="1"/>
  <c r="O17" i="1"/>
  <c r="N27" i="1"/>
  <c r="N26" i="1"/>
  <c r="N25" i="1"/>
  <c r="N24" i="1"/>
  <c r="N23" i="1"/>
  <c r="N22" i="1"/>
  <c r="N21" i="1"/>
  <c r="N20" i="1"/>
  <c r="N19" i="1"/>
  <c r="N18" i="1"/>
  <c r="N17" i="1"/>
  <c r="K21" i="1" a="1"/>
  <c r="K21" i="1" s="1"/>
  <c r="K20" i="1" a="1"/>
  <c r="K20" i="1" s="1"/>
  <c r="K19" i="1" a="1"/>
  <c r="K19" i="1" s="1"/>
  <c r="K18" i="1" a="1"/>
  <c r="K18" i="1" s="1"/>
  <c r="K17" i="1" a="1"/>
  <c r="K17" i="1" s="1"/>
  <c r="K27" i="1" a="1"/>
  <c r="K26" i="1" a="1"/>
  <c r="K22" i="1" a="1"/>
  <c r="K25" i="1" a="1"/>
  <c r="K23" i="1" a="1"/>
  <c r="K24" i="1" a="1"/>
  <c r="K24" i="1" l="1"/>
  <c r="K23" i="1"/>
  <c r="K25" i="1"/>
  <c r="K22" i="1"/>
  <c r="K26" i="1"/>
  <c r="K27" i="1"/>
  <c r="H27" i="1"/>
  <c r="H26" i="1"/>
  <c r="H25" i="1"/>
  <c r="H24" i="1"/>
  <c r="H23" i="1"/>
  <c r="H22" i="1"/>
  <c r="H21" i="1"/>
  <c r="H20" i="1"/>
  <c r="H19" i="1"/>
  <c r="H18" i="1"/>
  <c r="H17" i="1"/>
  <c r="M27" i="1"/>
  <c r="M26" i="1"/>
  <c r="M25" i="1"/>
  <c r="M24" i="1"/>
  <c r="M23" i="1"/>
  <c r="M22" i="1"/>
  <c r="M21" i="1"/>
  <c r="M20" i="1"/>
  <c r="M19" i="1"/>
  <c r="M18" i="1"/>
  <c r="M17" i="1"/>
  <c r="L27" i="1"/>
  <c r="L26" i="1"/>
  <c r="L25" i="1"/>
  <c r="L24" i="1"/>
  <c r="L23" i="1"/>
  <c r="L22" i="1"/>
  <c r="L21" i="1"/>
  <c r="L20" i="1"/>
  <c r="L19" i="1"/>
  <c r="L18" i="1"/>
  <c r="L17" i="1"/>
  <c r="D8" i="1"/>
  <c r="D27" i="1"/>
  <c r="D26" i="1"/>
  <c r="D25" i="1"/>
  <c r="D24" i="1"/>
  <c r="D23" i="1"/>
  <c r="D22" i="1"/>
  <c r="D21" i="1"/>
  <c r="D20" i="1"/>
  <c r="D19" i="1"/>
  <c r="D18" i="1"/>
  <c r="D17" i="1"/>
  <c r="F21" i="1"/>
  <c r="F17" i="1"/>
  <c r="E27" i="1"/>
  <c r="G27" i="1" s="1"/>
  <c r="E26" i="1"/>
  <c r="G26" i="1" s="1"/>
  <c r="E25" i="1"/>
  <c r="F25" i="1" s="1"/>
  <c r="I25" i="1" s="1"/>
  <c r="E24" i="1"/>
  <c r="G24" i="1" s="1"/>
  <c r="E23" i="1"/>
  <c r="F23" i="1" s="1"/>
  <c r="E22" i="1"/>
  <c r="F22" i="1" s="1"/>
  <c r="E21" i="1"/>
  <c r="E20" i="1"/>
  <c r="E19" i="1"/>
  <c r="E18" i="1"/>
  <c r="G18" i="1" s="1"/>
  <c r="J18" i="1" s="1"/>
  <c r="E17" i="1"/>
  <c r="G17" i="1" s="1"/>
  <c r="D6" i="1"/>
  <c r="D3" i="1"/>
  <c r="B27" i="1"/>
  <c r="B23" i="1"/>
  <c r="B22" i="1"/>
  <c r="B18" i="1"/>
  <c r="B17" i="1"/>
  <c r="A19" i="1"/>
  <c r="A20" i="1" s="1"/>
  <c r="A21" i="1" s="1"/>
  <c r="A24" i="1" s="1"/>
  <c r="A25" i="1" s="1"/>
  <c r="A18" i="1"/>
  <c r="J17" i="1" l="1"/>
  <c r="G19" i="1"/>
  <c r="J19" i="1" s="1"/>
  <c r="G20" i="1"/>
  <c r="I17" i="1"/>
  <c r="I21" i="1"/>
  <c r="J20" i="1"/>
  <c r="I22" i="1"/>
  <c r="J27" i="1"/>
  <c r="J24" i="1"/>
  <c r="I23" i="1"/>
  <c r="F20" i="1"/>
  <c r="J26" i="1"/>
  <c r="G21" i="1"/>
  <c r="G22" i="1"/>
  <c r="G23" i="1"/>
  <c r="F24" i="1"/>
  <c r="G25" i="1"/>
  <c r="F18" i="1"/>
  <c r="F26" i="1"/>
  <c r="F19" i="1"/>
  <c r="F27" i="1"/>
  <c r="B25" i="1"/>
  <c r="B20" i="1"/>
  <c r="B21" i="1"/>
  <c r="A26" i="1"/>
  <c r="B19" i="1"/>
  <c r="B24" i="1"/>
  <c r="J22" i="1" l="1"/>
  <c r="I20" i="1"/>
  <c r="I24" i="1"/>
  <c r="J21" i="1"/>
  <c r="I19" i="1"/>
  <c r="J23" i="1"/>
  <c r="I26" i="1"/>
  <c r="I18" i="1"/>
  <c r="I27" i="1"/>
  <c r="J25" i="1"/>
  <c r="B2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<sst xmlns="http://schemas.openxmlformats.org/spreadsheetml/2006/main" count="40" uniqueCount="36">
  <si>
    <t>Elevation</t>
  </si>
  <si>
    <t>(ft)</t>
  </si>
  <si>
    <t>(m)</t>
  </si>
  <si>
    <t>Kz</t>
  </si>
  <si>
    <t>Wind Loads on Chimney/Stack</t>
  </si>
  <si>
    <t>V =</t>
  </si>
  <si>
    <t>mph</t>
  </si>
  <si>
    <t>m/s</t>
  </si>
  <si>
    <t>Kzt =</t>
  </si>
  <si>
    <t>Kd =</t>
  </si>
  <si>
    <t>Ke =</t>
  </si>
  <si>
    <t>Exp =</t>
  </si>
  <si>
    <t>C</t>
  </si>
  <si>
    <t>α =</t>
  </si>
  <si>
    <t>zg =</t>
  </si>
  <si>
    <t>ft</t>
  </si>
  <si>
    <t>m</t>
  </si>
  <si>
    <t>qz</t>
  </si>
  <si>
    <t>(psf)</t>
  </si>
  <si>
    <t>(Pa)</t>
  </si>
  <si>
    <t xml:space="preserve">G = </t>
  </si>
  <si>
    <t>Cf</t>
  </si>
  <si>
    <t>h/d</t>
  </si>
  <si>
    <t xml:space="preserve">h = </t>
  </si>
  <si>
    <t>D*(qz)^0.5</t>
  </si>
  <si>
    <t>Imperial</t>
  </si>
  <si>
    <t>Metric</t>
  </si>
  <si>
    <t>Fig 29.4-1</t>
  </si>
  <si>
    <t>Af</t>
  </si>
  <si>
    <t>F</t>
  </si>
  <si>
    <t>ft^2</t>
  </si>
  <si>
    <t>m^2</t>
  </si>
  <si>
    <t>d</t>
  </si>
  <si>
    <t>lb</t>
  </si>
  <si>
    <t>N</t>
  </si>
  <si>
    <t>(Flexible Gust Factor Calcualted in Mathcad Sheet per Para 26.11)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</si>
</sst>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7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/>
    <xf numFmtId="167" fontId="5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0B38-3738-4F8D-AA06-4B37DE6A2C70}">
  <sheetPr codeName="Sheet1"/>
  <dimension ref="A1:O28"/>
  <sheetViews>
    <sheetView tabSelected="1" workbookViewId="0">
      <selection activeCell="O28" sqref="O28"/>
    </sheetView>
  </sheetViews>
  <sheetFormatPr defaultRowHeight="15" x14ac:dyDescent="0.25"/>
  <cols>
    <col min="1" max="1" width="6.7109375" customWidth="1"/>
    <col min="2" max="2" width="8.140625" customWidth="1"/>
    <col min="3" max="3" width="5.85546875" customWidth="1"/>
    <col min="4" max="4" width="7.85546875" style="4" customWidth="1"/>
    <col min="5" max="5" width="7.7109375" customWidth="1"/>
    <col min="9" max="9" width="10" customWidth="1"/>
    <col min="13" max="13" width="6.5703125" customWidth="1"/>
  </cols>
  <sheetData>
    <row r="1" spans="1:15" ht="21" x14ac:dyDescent="0.35">
      <c r="A1" s="5" t="s">
        <v>4</v>
      </c>
    </row>
    <row r="3" spans="1:15" x14ac:dyDescent="0.25">
      <c r="A3" t="s">
        <v>5</v>
      </c>
      <c r="B3" s="6">
        <v>120</v>
      </c>
      <c r="C3" t="s">
        <v>6</v>
      </c>
      <c r="D3" s="4">
        <f>+V*0.447</f>
        <v>53.64</v>
      </c>
      <c r="E3" t="s">
        <v>7</v>
      </c>
    </row>
    <row r="4" spans="1:15" x14ac:dyDescent="0.25">
      <c r="A4" t="s">
        <v>11</v>
      </c>
      <c r="B4" s="7" t="s">
        <v>12</v>
      </c>
    </row>
    <row r="5" spans="1:15" x14ac:dyDescent="0.25">
      <c r="A5" s="8" t="s">
        <v>13</v>
      </c>
      <c r="B5">
        <v>9.5</v>
      </c>
    </row>
    <row r="6" spans="1:15" x14ac:dyDescent="0.25">
      <c r="A6" s="8" t="s">
        <v>14</v>
      </c>
      <c r="B6">
        <v>900</v>
      </c>
      <c r="C6" t="s">
        <v>15</v>
      </c>
      <c r="D6" s="4">
        <f>+B6*0.3048</f>
        <v>274.32</v>
      </c>
      <c r="E6" t="s">
        <v>16</v>
      </c>
    </row>
    <row r="8" spans="1:15" x14ac:dyDescent="0.25">
      <c r="A8" t="s">
        <v>23</v>
      </c>
      <c r="B8" s="6">
        <v>100</v>
      </c>
      <c r="C8" t="s">
        <v>15</v>
      </c>
      <c r="D8" s="4">
        <f>+B8*0.3048</f>
        <v>30.48</v>
      </c>
      <c r="E8" t="s">
        <v>16</v>
      </c>
    </row>
    <row r="9" spans="1:15" x14ac:dyDescent="0.25">
      <c r="A9" t="s">
        <v>20</v>
      </c>
      <c r="B9" s="6">
        <v>0.99099999999999999</v>
      </c>
      <c r="C9" t="s">
        <v>35</v>
      </c>
    </row>
    <row r="10" spans="1:15" x14ac:dyDescent="0.25">
      <c r="A10" t="s">
        <v>8</v>
      </c>
      <c r="B10" s="6">
        <v>1</v>
      </c>
    </row>
    <row r="11" spans="1:15" x14ac:dyDescent="0.25">
      <c r="A11" t="s">
        <v>9</v>
      </c>
      <c r="B11" s="6">
        <v>1</v>
      </c>
    </row>
    <row r="12" spans="1:15" x14ac:dyDescent="0.25">
      <c r="A12" t="s">
        <v>10</v>
      </c>
      <c r="B12" s="6">
        <v>1</v>
      </c>
    </row>
    <row r="13" spans="1:15" x14ac:dyDescent="0.25">
      <c r="B13" s="6"/>
    </row>
    <row r="15" spans="1:15" x14ac:dyDescent="0.25">
      <c r="A15" s="11" t="s">
        <v>0</v>
      </c>
      <c r="B15" s="11"/>
      <c r="C15" s="11" t="s">
        <v>32</v>
      </c>
      <c r="D15" s="11"/>
      <c r="E15" s="12" t="s">
        <v>3</v>
      </c>
      <c r="F15" s="11" t="s">
        <v>17</v>
      </c>
      <c r="G15" s="11"/>
      <c r="H15" s="12" t="s">
        <v>22</v>
      </c>
      <c r="I15" s="11" t="s">
        <v>24</v>
      </c>
      <c r="J15" s="11"/>
      <c r="K15" s="12" t="s">
        <v>21</v>
      </c>
      <c r="L15" s="11" t="s">
        <v>28</v>
      </c>
      <c r="M15" s="11"/>
      <c r="N15" s="11" t="s">
        <v>29</v>
      </c>
      <c r="O15" s="11"/>
    </row>
    <row r="16" spans="1:15" x14ac:dyDescent="0.25">
      <c r="A16" s="12" t="s">
        <v>1</v>
      </c>
      <c r="B16" s="12" t="s">
        <v>2</v>
      </c>
      <c r="C16" s="12" t="s">
        <v>1</v>
      </c>
      <c r="D16" s="12" t="s">
        <v>2</v>
      </c>
      <c r="E16" s="12"/>
      <c r="F16" s="12" t="s">
        <v>18</v>
      </c>
      <c r="G16" s="12" t="s">
        <v>19</v>
      </c>
      <c r="H16" s="12"/>
      <c r="I16" s="12" t="s">
        <v>25</v>
      </c>
      <c r="J16" s="12" t="s">
        <v>26</v>
      </c>
      <c r="K16" s="12" t="s">
        <v>27</v>
      </c>
      <c r="L16" s="12" t="s">
        <v>30</v>
      </c>
      <c r="M16" s="12" t="s">
        <v>31</v>
      </c>
      <c r="N16" s="12" t="s">
        <v>33</v>
      </c>
      <c r="O16" s="12" t="s">
        <v>34</v>
      </c>
    </row>
    <row r="17" spans="1:15" x14ac:dyDescent="0.25">
      <c r="A17" s="6">
        <v>100</v>
      </c>
      <c r="B17" s="2">
        <f>+A17*0.3048</f>
        <v>30.48</v>
      </c>
      <c r="C17" s="10">
        <v>3</v>
      </c>
      <c r="D17" s="4">
        <f>+C17*0.3048</f>
        <v>0.9144000000000001</v>
      </c>
      <c r="E17" s="3">
        <f>2.01*(A17/zg)^(2/Alpha)</f>
        <v>1.2656187421700444</v>
      </c>
      <c r="F17" s="9">
        <f>0.00256*E17*Kzt*Kd*Ke*V^2</f>
        <v>46.655769311356522</v>
      </c>
      <c r="G17" s="2">
        <f>0.613*E17*Kzt*Kd*Ke*$D$3^2</f>
        <v>2232.2401250523544</v>
      </c>
      <c r="H17" s="2">
        <f>+h/C17</f>
        <v>33.333333333333336</v>
      </c>
      <c r="I17" s="2">
        <f>+C17*F17^0.5</f>
        <v>20.491508577999053</v>
      </c>
      <c r="J17" s="2">
        <f>D17*G17^0.5</f>
        <v>43.202280525987227</v>
      </c>
      <c r="K17" s="14" cm="1">
        <f t="array" ref="K17">IF(H17&gt;25,0.7,IF(H17&lt;=1,0.5,IF(AND(H17&gt;1,H17&lt;=7), Interpolate(0.5,0.6,1,H17,7),Interpolate(0.6,0.7,7,H17,25))))</f>
        <v>0.7</v>
      </c>
      <c r="L17" s="13">
        <f>+C17*(A17-A18)</f>
        <v>30</v>
      </c>
      <c r="M17" s="13">
        <f>+D17*(B17-B18)</f>
        <v>2.7870911999999985</v>
      </c>
      <c r="N17" s="1">
        <f>+F17*G*K17*L17</f>
        <v>970.95321513864053</v>
      </c>
      <c r="O17" s="1">
        <f>G17*G*K17*M17</f>
        <v>4315.8245882786505</v>
      </c>
    </row>
    <row r="18" spans="1:15" x14ac:dyDescent="0.25">
      <c r="A18" s="6">
        <f>+A17-10</f>
        <v>90</v>
      </c>
      <c r="B18" s="2">
        <f t="shared" ref="B18:B27" si="0">+A18*0.3048</f>
        <v>27.432000000000002</v>
      </c>
      <c r="C18" s="10">
        <v>3</v>
      </c>
      <c r="D18" s="4">
        <f t="shared" ref="D18:D27" si="1">+C18*0.3048</f>
        <v>0.9144000000000001</v>
      </c>
      <c r="E18" s="3">
        <f>2.01*(A18/zg)^(2/Alpha)</f>
        <v>1.2378549042427129</v>
      </c>
      <c r="F18" s="9">
        <f>0.00256*E18*Kzt*Kd*Ke*V^2</f>
        <v>45.632283190003378</v>
      </c>
      <c r="G18" s="2">
        <f>0.613*E18*Kzt*Kd*Ke*$D$3^2</f>
        <v>2183.2715447194055</v>
      </c>
      <c r="H18" s="2">
        <f>+h/C18</f>
        <v>33.333333333333336</v>
      </c>
      <c r="I18" s="2">
        <f t="shared" ref="I18:I27" si="2">+C18*F18^0.5</f>
        <v>20.265501442353468</v>
      </c>
      <c r="J18" s="2">
        <f t="shared" ref="J18:J27" si="3">D18*G18^0.5</f>
        <v>42.725789318037869</v>
      </c>
      <c r="K18" s="14" cm="1">
        <f t="array" ref="K18">IF(H18&gt;25,0.7,IF(H18&lt;=1,0.5,IF(AND(H18&gt;1,H18&lt;=7), Interpolate(0.5,0.6,1,H18,7),Interpolate(0.6,0.7,7,H18,25))))</f>
        <v>0.7</v>
      </c>
      <c r="L18" s="13">
        <f t="shared" ref="L18:L27" si="4">+C18*(A18-A19)</f>
        <v>30</v>
      </c>
      <c r="M18" s="13">
        <f t="shared" ref="M18:M27" si="5">+D18*(B18-B19)</f>
        <v>2.7870912000000021</v>
      </c>
      <c r="N18" s="1">
        <f>+F18*G*K18*L18</f>
        <v>949.65344546716028</v>
      </c>
      <c r="O18" s="1">
        <f>G18*G*K18*M18</f>
        <v>4221.1484821186696</v>
      </c>
    </row>
    <row r="19" spans="1:15" x14ac:dyDescent="0.25">
      <c r="A19" s="6">
        <f t="shared" ref="A19:A26" si="6">+A18-10</f>
        <v>80</v>
      </c>
      <c r="B19" s="2">
        <f t="shared" si="0"/>
        <v>24.384</v>
      </c>
      <c r="C19" s="10">
        <v>3</v>
      </c>
      <c r="D19" s="4">
        <f t="shared" si="1"/>
        <v>0.9144000000000001</v>
      </c>
      <c r="E19" s="3">
        <f>2.01*(A19/zg)^(2/Alpha)</f>
        <v>1.2075379529823704</v>
      </c>
      <c r="F19" s="9">
        <f>0.00256*E19*Kzt*Kd*Ke*V^2</f>
        <v>44.514679098742107</v>
      </c>
      <c r="G19" s="2">
        <f>0.613*E19*Kzt*Kd*Ke*$D$3^2</f>
        <v>2129.7999005206498</v>
      </c>
      <c r="H19" s="2">
        <f>+h/C19</f>
        <v>33.333333333333336</v>
      </c>
      <c r="I19" s="2">
        <f t="shared" si="2"/>
        <v>20.015796558935119</v>
      </c>
      <c r="J19" s="2">
        <f t="shared" si="3"/>
        <v>42.199336110306213</v>
      </c>
      <c r="K19" s="14" cm="1">
        <f t="array" ref="K19">IF(H19&gt;25,0.7,IF(H19&lt;=1,0.5,IF(AND(H19&gt;1,H19&lt;=7), Interpolate(0.5,0.6,1,H19,7),Interpolate(0.6,0.7,7,H19,25))))</f>
        <v>0.7</v>
      </c>
      <c r="L19" s="13">
        <f t="shared" si="4"/>
        <v>30</v>
      </c>
      <c r="M19" s="13">
        <f t="shared" si="5"/>
        <v>2.7870911999999985</v>
      </c>
      <c r="N19" s="1">
        <f>+F19*G*K19*L19</f>
        <v>926.39498672392199</v>
      </c>
      <c r="O19" s="1">
        <f>G19*G*K19*M19</f>
        <v>4117.7661290202204</v>
      </c>
    </row>
    <row r="20" spans="1:15" x14ac:dyDescent="0.25">
      <c r="A20" s="6">
        <f t="shared" si="6"/>
        <v>70</v>
      </c>
      <c r="B20" s="2">
        <f t="shared" si="0"/>
        <v>21.336000000000002</v>
      </c>
      <c r="C20" s="10">
        <v>3</v>
      </c>
      <c r="D20" s="4">
        <f t="shared" si="1"/>
        <v>0.9144000000000001</v>
      </c>
      <c r="E20" s="3">
        <f>2.01*(A20/zg)^(2/Alpha)</f>
        <v>1.1740645055051222</v>
      </c>
      <c r="F20" s="9">
        <f>0.00256*E20*Kzt*Kd*Ke*V^2</f>
        <v>43.280713930940827</v>
      </c>
      <c r="G20" s="2">
        <f>0.613*E20*Kzt*Kd*Ke*$D$3^2</f>
        <v>2070.7609734781909</v>
      </c>
      <c r="H20" s="2">
        <f>+h/C20</f>
        <v>33.333333333333336</v>
      </c>
      <c r="I20" s="2">
        <f t="shared" si="2"/>
        <v>19.736423824453798</v>
      </c>
      <c r="J20" s="2">
        <f t="shared" si="3"/>
        <v>41.610334124413733</v>
      </c>
      <c r="K20" s="14" cm="1">
        <f t="array" ref="K20">IF(H20&gt;25,0.7,IF(H20&lt;=1,0.5,IF(AND(H20&gt;1,H20&lt;=7), Interpolate(0.5,0.6,1,H20,7),Interpolate(0.6,0.7,7,H20,25))))</f>
        <v>0.7</v>
      </c>
      <c r="L20" s="13">
        <f t="shared" si="4"/>
        <v>30</v>
      </c>
      <c r="M20" s="13">
        <f t="shared" si="5"/>
        <v>2.7870912000000021</v>
      </c>
      <c r="N20" s="1">
        <f>+F20*G*K20*L20</f>
        <v>900.71493761680938</v>
      </c>
      <c r="O20" s="1">
        <f>G20*G*K20*M20</f>
        <v>4003.6199625143004</v>
      </c>
    </row>
    <row r="21" spans="1:15" x14ac:dyDescent="0.25">
      <c r="A21" s="6">
        <f t="shared" si="6"/>
        <v>60</v>
      </c>
      <c r="B21" s="2">
        <f t="shared" si="0"/>
        <v>18.288</v>
      </c>
      <c r="C21" s="10">
        <v>3</v>
      </c>
      <c r="D21" s="4">
        <f t="shared" si="1"/>
        <v>0.9144000000000001</v>
      </c>
      <c r="E21" s="3">
        <f>2.01*(A21/zg)^(2/Alpha)</f>
        <v>1.136574472681563</v>
      </c>
      <c r="F21" s="9">
        <f>0.00256*E21*Kzt*Kd*Ke*V^2</f>
        <v>41.898681360933139</v>
      </c>
      <c r="G21" s="2">
        <f>0.613*E21*Kzt*Kd*Ke*$D$3^2</f>
        <v>2004.6377779455549</v>
      </c>
      <c r="H21" s="2">
        <f>+h/C21</f>
        <v>33.333333333333336</v>
      </c>
      <c r="I21" s="2">
        <f t="shared" si="2"/>
        <v>19.418757227186251</v>
      </c>
      <c r="J21" s="2">
        <f t="shared" si="3"/>
        <v>40.940597125956572</v>
      </c>
      <c r="K21" s="14" cm="1">
        <f t="array" ref="K21">IF(H21&gt;25,0.7,IF(H21&lt;=1,0.5,IF(AND(H21&gt;1,H21&lt;=7), Interpolate(0.5,0.6,1,H21,7),Interpolate(0.6,0.7,7,H21,25))))</f>
        <v>0.7</v>
      </c>
      <c r="L21" s="13">
        <f t="shared" si="4"/>
        <v>15</v>
      </c>
      <c r="M21" s="13">
        <f t="shared" si="5"/>
        <v>1.3935456000000011</v>
      </c>
      <c r="N21" s="1">
        <f>+F21*G*K21*L21</f>
        <v>435.97672890118974</v>
      </c>
      <c r="O21" s="1">
        <f>G21*G*K21*M21</f>
        <v>1937.8885173580511</v>
      </c>
    </row>
    <row r="22" spans="1:15" x14ac:dyDescent="0.25">
      <c r="A22" s="6">
        <v>55</v>
      </c>
      <c r="B22" s="2">
        <f t="shared" si="0"/>
        <v>16.763999999999999</v>
      </c>
      <c r="C22" s="10">
        <v>4.5</v>
      </c>
      <c r="D22" s="4">
        <f t="shared" si="1"/>
        <v>1.3716000000000002</v>
      </c>
      <c r="E22" s="3">
        <f>2.01*(A22/zg)^(2/Alpha)</f>
        <v>1.1159440247091945</v>
      </c>
      <c r="F22" s="9">
        <f>0.00256*E22*Kzt*Kd*Ke*V^2</f>
        <v>41.138160526879751</v>
      </c>
      <c r="G22" s="2">
        <f>0.613*E22*Kzt*Kd*Ke*$D$3^2</f>
        <v>1968.2507427134719</v>
      </c>
      <c r="H22" s="2">
        <f>+h/C22</f>
        <v>22.222222222222221</v>
      </c>
      <c r="I22" s="2">
        <f t="shared" si="2"/>
        <v>28.862566598785264</v>
      </c>
      <c r="J22" s="2">
        <f t="shared" si="3"/>
        <v>60.850995628476561</v>
      </c>
      <c r="K22" s="14" cm="1">
        <f t="array" ref="K22">IF(H22&gt;25,0.7,IF(H22&lt;=1,0.5,IF(AND(H22&gt;1,H22&lt;=7), Interpolate(0.5,0.6,1,H22,7),Interpolate(0.6,0.7,7,H22,25))))</f>
        <v>0.68456786870956421</v>
      </c>
      <c r="L22" s="13">
        <f t="shared" si="4"/>
        <v>22.5</v>
      </c>
      <c r="M22" s="13">
        <f t="shared" si="5"/>
        <v>2.0903183999999992</v>
      </c>
      <c r="N22" s="1">
        <f>+F22*G*K22*L22</f>
        <v>627.93913744456506</v>
      </c>
      <c r="O22" s="1">
        <f>G22*G*K22*M22</f>
        <v>2791.14907605386</v>
      </c>
    </row>
    <row r="23" spans="1:15" x14ac:dyDescent="0.25">
      <c r="A23" s="6">
        <v>50</v>
      </c>
      <c r="B23" s="2">
        <f t="shared" si="0"/>
        <v>15.24</v>
      </c>
      <c r="C23" s="10">
        <v>5</v>
      </c>
      <c r="D23" s="4">
        <f t="shared" si="1"/>
        <v>1.524</v>
      </c>
      <c r="E23" s="3">
        <f>2.01*(A23/zg)^(2/Alpha)</f>
        <v>1.0937754255308798</v>
      </c>
      <c r="F23" s="9">
        <f>0.00256*E23*Kzt*Kd*Ke*V^2</f>
        <v>40.320937286770359</v>
      </c>
      <c r="G23" s="2">
        <f>0.613*E23*Kzt*Kd*Ke*$D$3^2</f>
        <v>1929.1507871319136</v>
      </c>
      <c r="H23" s="2">
        <f>+h/C23</f>
        <v>20</v>
      </c>
      <c r="I23" s="2">
        <f t="shared" si="2"/>
        <v>31.749384752609913</v>
      </c>
      <c r="J23" s="2">
        <f t="shared" si="3"/>
        <v>66.937278989914816</v>
      </c>
      <c r="K23" s="14" cm="1">
        <f t="array" ref="K23">IF(H23&gt;25,0.7,IF(H23&lt;=1,0.5,IF(AND(H23&gt;1,H23&lt;=7), Interpolate(0.5,0.6,1,H23,7),Interpolate(0.6,0.7,7,H23,25))))</f>
        <v>0.67222219705581665</v>
      </c>
      <c r="L23" s="13">
        <f t="shared" si="4"/>
        <v>50</v>
      </c>
      <c r="M23" s="13">
        <f t="shared" si="5"/>
        <v>4.6451520000000004</v>
      </c>
      <c r="N23" s="1">
        <f>+F23*G*K23*L23</f>
        <v>1343.0343694405103</v>
      </c>
      <c r="O23" s="1">
        <f>G23*G*K23*M23</f>
        <v>5969.7013863917527</v>
      </c>
    </row>
    <row r="24" spans="1:15" x14ac:dyDescent="0.25">
      <c r="A24" s="6">
        <f t="shared" si="6"/>
        <v>40</v>
      </c>
      <c r="B24" s="2">
        <f t="shared" si="0"/>
        <v>12.192</v>
      </c>
      <c r="C24" s="10">
        <v>5</v>
      </c>
      <c r="D24" s="4">
        <f t="shared" si="1"/>
        <v>1.524</v>
      </c>
      <c r="E24" s="3">
        <f>2.01*(A24/zg)^(2/Alpha)</f>
        <v>1.0435807359358187</v>
      </c>
      <c r="F24" s="9">
        <f>0.00256*E24*Kzt*Kd*Ke*V^2</f>
        <v>38.470560249538025</v>
      </c>
      <c r="G24" s="2">
        <f>0.613*E24*Kzt*Kd*Ke*$D$3^2</f>
        <v>1840.6197023389313</v>
      </c>
      <c r="H24" s="2">
        <f>+h/C24</f>
        <v>20</v>
      </c>
      <c r="I24" s="2">
        <f t="shared" si="2"/>
        <v>31.012320233069481</v>
      </c>
      <c r="J24" s="2">
        <f t="shared" si="3"/>
        <v>65.383324676705953</v>
      </c>
      <c r="K24" s="14" cm="1">
        <f t="array" ref="K24">IF(H24&gt;25,0.7,IF(H24&lt;=1,0.5,IF(AND(H24&gt;1,H24&lt;=7), Interpolate(0.5,0.6,1,H24,7),Interpolate(0.6,0.7,7,H24,25))))</f>
        <v>0.67222219705581665</v>
      </c>
      <c r="L24" s="13">
        <f t="shared" si="4"/>
        <v>50</v>
      </c>
      <c r="M24" s="13">
        <f t="shared" si="5"/>
        <v>4.6451520000000004</v>
      </c>
      <c r="N24" s="1">
        <f>+F24*G*K24*L24</f>
        <v>1281.40088260582</v>
      </c>
      <c r="O24" s="1">
        <f>G24*G*K24*M24</f>
        <v>5695.744501760063</v>
      </c>
    </row>
    <row r="25" spans="1:15" x14ac:dyDescent="0.25">
      <c r="A25" s="6">
        <f t="shared" si="6"/>
        <v>30</v>
      </c>
      <c r="B25" s="2">
        <f t="shared" si="0"/>
        <v>9.1440000000000001</v>
      </c>
      <c r="C25" s="10">
        <v>5</v>
      </c>
      <c r="D25" s="4">
        <f t="shared" si="1"/>
        <v>1.524</v>
      </c>
      <c r="E25" s="3">
        <f>2.01*(A25/zg)^(2/Alpha)</f>
        <v>0.98225254263640283</v>
      </c>
      <c r="F25" s="9">
        <f>0.00256*E25*Kzt*Kd*Ke*V^2</f>
        <v>36.209757731748354</v>
      </c>
      <c r="G25" s="2">
        <f>0.613*E25*Kzt*Kd*Ke*$D$3^2</f>
        <v>1732.4518557999384</v>
      </c>
      <c r="H25" s="2">
        <f>+h/C25</f>
        <v>20</v>
      </c>
      <c r="I25" s="2">
        <f t="shared" si="2"/>
        <v>30.087272114528908</v>
      </c>
      <c r="J25" s="2">
        <f t="shared" si="3"/>
        <v>63.433044239074626</v>
      </c>
      <c r="K25" s="14" cm="1">
        <f t="array" ref="K25">IF(H25&gt;25,0.7,IF(H25&lt;=1,0.5,IF(AND(H25&gt;1,H25&lt;=7), Interpolate(0.5,0.6,1,H25,7),Interpolate(0.6,0.7,7,H25,25))))</f>
        <v>0.67222219705581665</v>
      </c>
      <c r="L25" s="13">
        <f t="shared" si="4"/>
        <v>50</v>
      </c>
      <c r="M25" s="13">
        <f t="shared" si="5"/>
        <v>4.6451520000000004</v>
      </c>
      <c r="N25" s="1">
        <f>+F25*G*K25*L25</f>
        <v>1206.0966935609533</v>
      </c>
      <c r="O25" s="1">
        <f>G25*G*K25*M25</f>
        <v>5361.0222251220357</v>
      </c>
    </row>
    <row r="26" spans="1:15" x14ac:dyDescent="0.25">
      <c r="A26" s="6">
        <f t="shared" si="6"/>
        <v>20</v>
      </c>
      <c r="B26" s="2">
        <f t="shared" si="0"/>
        <v>6.0960000000000001</v>
      </c>
      <c r="C26" s="10">
        <v>5</v>
      </c>
      <c r="D26" s="4">
        <f t="shared" si="1"/>
        <v>1.524</v>
      </c>
      <c r="E26" s="3">
        <f>2.01*(A26/zg)^(2/Alpha)</f>
        <v>0.9018853194026647</v>
      </c>
      <c r="F26" s="9">
        <f>0.00256*E26*Kzt*Kd*Ke*V^2</f>
        <v>33.247100414459837</v>
      </c>
      <c r="G26" s="2">
        <f>0.613*E26*Kzt*Kd*Ke*$D$3^2</f>
        <v>1590.7038439667772</v>
      </c>
      <c r="H26" s="2">
        <f>+h/C26</f>
        <v>20</v>
      </c>
      <c r="I26" s="2">
        <f t="shared" si="2"/>
        <v>28.830149329503932</v>
      </c>
      <c r="J26" s="2">
        <f t="shared" si="3"/>
        <v>60.782650247459443</v>
      </c>
      <c r="K26" s="14" cm="1">
        <f t="array" ref="K26">IF(H26&gt;25,0.7,IF(H26&lt;=1,0.5,IF(AND(H26&gt;1,H26&lt;=7), Interpolate(0.5,0.6,1,H26,7),Interpolate(0.6,0.7,7,H26,25))))</f>
        <v>0.67222219705581665</v>
      </c>
      <c r="L26" s="13">
        <f t="shared" si="4"/>
        <v>25</v>
      </c>
      <c r="M26" s="13">
        <f t="shared" si="5"/>
        <v>2.3225760000000002</v>
      </c>
      <c r="N26" s="1">
        <f>+F26*G*K26*L26</f>
        <v>553.70734840916134</v>
      </c>
      <c r="O26" s="1">
        <f>G26*G*K26*M26</f>
        <v>2461.1935484796895</v>
      </c>
    </row>
    <row r="27" spans="1:15" x14ac:dyDescent="0.25">
      <c r="A27" s="6">
        <v>15</v>
      </c>
      <c r="B27" s="2">
        <f t="shared" si="0"/>
        <v>4.5720000000000001</v>
      </c>
      <c r="C27" s="10">
        <v>5</v>
      </c>
      <c r="D27" s="4">
        <f t="shared" si="1"/>
        <v>1.524</v>
      </c>
      <c r="E27" s="3">
        <f>2.01*(A27/zg)^(2/Alpha)</f>
        <v>0.84888415207790313</v>
      </c>
      <c r="F27" s="9">
        <f>0.00256*E27*Kzt*Kd*Ke*V^2</f>
        <v>31.293265382199824</v>
      </c>
      <c r="G27" s="2">
        <f>0.613*E27*Kzt*Kd*Ke*$D$3^2</f>
        <v>1497.2228228386541</v>
      </c>
      <c r="H27" s="2">
        <f>+h/C27</f>
        <v>20</v>
      </c>
      <c r="I27" s="2">
        <f t="shared" si="2"/>
        <v>27.970191893424605</v>
      </c>
      <c r="J27" s="2">
        <f t="shared" si="3"/>
        <v>58.969600600456076</v>
      </c>
      <c r="K27" s="14" cm="1">
        <f t="array" ref="K27">IF(H27&gt;25,0.7,IF(H27&lt;=1,0.5,IF(AND(H27&gt;1,H27&lt;=7), Interpolate(0.5,0.6,1,H27,7),Interpolate(0.6,0.7,7,H27,25))))</f>
        <v>0.67222219705581665</v>
      </c>
      <c r="L27" s="13">
        <f t="shared" si="4"/>
        <v>75</v>
      </c>
      <c r="M27" s="13">
        <f t="shared" si="5"/>
        <v>6.9677280000000001</v>
      </c>
      <c r="N27" s="1">
        <f>+F27*G*K27*L27</f>
        <v>1563.5027519848977</v>
      </c>
      <c r="O27" s="1">
        <f>G27*G*K27*M27</f>
        <v>6949.6691659795979</v>
      </c>
    </row>
    <row r="28" spans="1:15" x14ac:dyDescent="0.25">
      <c r="N28" s="1">
        <f>SUM(N17:N27)</f>
        <v>10759.374497293629</v>
      </c>
      <c r="O28" s="1">
        <f>SUM(O17:O27)</f>
        <v>47824.727583076892</v>
      </c>
    </row>
  </sheetData>
  <mergeCells count="6">
    <mergeCell ref="C15:D15"/>
    <mergeCell ref="N15:O15"/>
    <mergeCell ref="I15:J15"/>
    <mergeCell ref="F15:G15"/>
    <mergeCell ref="A15:B15"/>
    <mergeCell ref="L15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Wind</vt:lpstr>
      <vt:lpstr>Alpha</vt:lpstr>
      <vt:lpstr>G</vt:lpstr>
      <vt:lpstr>h</vt:lpstr>
      <vt:lpstr>Kd</vt:lpstr>
      <vt:lpstr>Ke</vt:lpstr>
      <vt:lpstr>Kzt</vt:lpstr>
      <vt:lpstr>V</vt:lpstr>
      <vt:lpstr>zg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2020-04-29T11:21:00Z</dcterms:created>
  <dcterms:modified xsi:type="dcterms:W3CDTF">2020-04-29T15:06:13Z</dcterms:modified>
</cp:coreProperties>
</file>